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10800"/>
  </bookViews>
  <sheets>
    <sheet name="Simple Models" sheetId="1" r:id="rId1"/>
    <sheet name="Regression" sheetId="5" r:id="rId2"/>
    <sheet name="Seasonal Models" sheetId="4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I28" i="4" l="1"/>
  <c r="G27" i="4" l="1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G6" i="4"/>
  <c r="G5" i="4"/>
  <c r="H4" i="4"/>
  <c r="H5" i="4" s="1"/>
  <c r="G4" i="4"/>
  <c r="O24" i="4"/>
  <c r="K35" i="4" s="1"/>
  <c r="O25" i="4"/>
  <c r="N36" i="4" s="1"/>
  <c r="O26" i="4"/>
  <c r="M37" i="4" s="1"/>
  <c r="O27" i="4"/>
  <c r="N38" i="4" s="1"/>
  <c r="O28" i="4"/>
  <c r="K39" i="4" s="1"/>
  <c r="O23" i="4"/>
  <c r="M34" i="4" s="1"/>
  <c r="I32" i="1"/>
  <c r="F32" i="1"/>
  <c r="C32" i="1"/>
  <c r="K6" i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5" i="1"/>
  <c r="H6" i="1"/>
  <c r="H7" i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5" i="1"/>
  <c r="K4" i="1"/>
  <c r="H4" i="1"/>
  <c r="E8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I31" i="1"/>
  <c r="I30" i="1"/>
  <c r="F31" i="1"/>
  <c r="F30" i="1"/>
  <c r="I29" i="1"/>
  <c r="F29" i="1"/>
  <c r="J28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4" i="1"/>
  <c r="G28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4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D9" i="1"/>
  <c r="D13" i="1"/>
  <c r="D25" i="1"/>
  <c r="C8" i="1"/>
  <c r="D8" i="1" s="1"/>
  <c r="C9" i="1"/>
  <c r="C10" i="1"/>
  <c r="D10" i="1" s="1"/>
  <c r="C11" i="1"/>
  <c r="D11" i="1" s="1"/>
  <c r="C12" i="1"/>
  <c r="D12" i="1" s="1"/>
  <c r="C13" i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C26" i="1"/>
  <c r="D26" i="1" s="1"/>
  <c r="C27" i="1"/>
  <c r="D27" i="1" s="1"/>
  <c r="C28" i="1"/>
  <c r="F28" i="1"/>
  <c r="I5" i="1"/>
  <c r="I6" i="1"/>
  <c r="I7" i="1"/>
  <c r="I8" i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4" i="1"/>
  <c r="N34" i="4" l="1"/>
  <c r="L35" i="4"/>
  <c r="L39" i="4"/>
  <c r="K34" i="4"/>
  <c r="M35" i="4"/>
  <c r="N39" i="4"/>
  <c r="M39" i="4"/>
  <c r="N35" i="4"/>
  <c r="M38" i="4"/>
  <c r="M36" i="4"/>
  <c r="L38" i="4"/>
  <c r="L37" i="4"/>
  <c r="L36" i="4"/>
  <c r="L34" i="4"/>
  <c r="K38" i="4"/>
  <c r="K37" i="4"/>
  <c r="K36" i="4"/>
  <c r="N37" i="4"/>
  <c r="H6" i="4"/>
  <c r="D28" i="1"/>
  <c r="C29" i="1" s="1"/>
  <c r="C31" i="1" s="1"/>
  <c r="C30" i="1"/>
  <c r="M40" i="4" l="1"/>
  <c r="N40" i="4"/>
  <c r="K40" i="4"/>
  <c r="F28" i="4" s="1"/>
  <c r="L40" i="4"/>
  <c r="H7" i="4"/>
  <c r="S20" i="1"/>
  <c r="G28" i="4" l="1"/>
  <c r="H8" i="4"/>
  <c r="H9" i="4" l="1"/>
  <c r="H10" i="4" l="1"/>
  <c r="H11" i="4" l="1"/>
  <c r="H12" i="4" l="1"/>
  <c r="H13" i="4" l="1"/>
  <c r="H14" i="4" l="1"/>
  <c r="H15" i="4" l="1"/>
  <c r="H16" i="4" l="1"/>
  <c r="H17" i="4" l="1"/>
  <c r="H18" i="4" l="1"/>
  <c r="H19" i="4" l="1"/>
  <c r="H20" i="4" l="1"/>
  <c r="H21" i="4" l="1"/>
  <c r="H22" i="4" l="1"/>
  <c r="H23" i="4" l="1"/>
  <c r="H24" i="4" l="1"/>
  <c r="H25" i="4" l="1"/>
  <c r="H26" i="4" l="1"/>
  <c r="H27" i="4" l="1"/>
  <c r="H28" i="4" s="1"/>
  <c r="P20" i="4" l="1"/>
</calcChain>
</file>

<file path=xl/sharedStrings.xml><?xml version="1.0" encoding="utf-8"?>
<sst xmlns="http://schemas.openxmlformats.org/spreadsheetml/2006/main" count="58" uniqueCount="41">
  <si>
    <t>Emergency Calls to Winter Park, FL 911 System</t>
  </si>
  <si>
    <t>Week</t>
  </si>
  <si>
    <t>Calls</t>
  </si>
  <si>
    <t>WMA</t>
  </si>
  <si>
    <t>Weights</t>
  </si>
  <si>
    <t>????</t>
  </si>
  <si>
    <t>TL</t>
  </si>
  <si>
    <t>ES</t>
  </si>
  <si>
    <t>Average Forecast:</t>
  </si>
  <si>
    <t>MAD</t>
  </si>
  <si>
    <t>95% CI</t>
  </si>
  <si>
    <t>TS</t>
  </si>
  <si>
    <t>CFE</t>
  </si>
  <si>
    <t>W1</t>
  </si>
  <si>
    <t>W2</t>
  </si>
  <si>
    <t>W3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</si>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</sst>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2" fillId="0" borderId="0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1" fontId="2" fillId="4" borderId="0" xfId="0" applyNumberFormat="1" applyFont="1" applyFill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0" borderId="0" xfId="0" applyFill="1" applyBorder="1" applyAlignment="1"/>
    <xf numFmtId="0" fontId="0" fillId="0" borderId="3" xfId="0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Continuous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'Simple Models'!$B$3</c:f>
              <c:strCache>
                <c:ptCount val="1"/>
                <c:pt idx="0">
                  <c:v>Calls</c:v>
                </c:pt>
              </c:strCache>
            </c:strRef>
          </c:tx>
          <c:trendline>
            <c:trendlineType val="linear"/>
            <c:dispRSqr val="0"/>
            <c:dispEq val="1"/>
            <c:trendlineLbl>
              <c:layout>
                <c:manualLayout>
                  <c:x val="-9.8245746136232506E-2"/>
                  <c:y val="-0.11958297722588106"/>
                </c:manualLayout>
              </c:layout>
              <c:numFmt formatCode="General" sourceLinked="0"/>
            </c:trendlineLbl>
          </c:trendline>
          <c:trendline>
            <c:trendlineType val="linear"/>
            <c:dispRSqr val="0"/>
            <c:dispEq val="0"/>
          </c:trendline>
          <c:xVal>
            <c:numRef>
              <c:f>'Simple Models'!$A$4:$A$27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'Simple Models'!$B$4:$B$27</c:f>
              <c:numCache>
                <c:formatCode>General</c:formatCode>
                <c:ptCount val="24"/>
                <c:pt idx="0">
                  <c:v>50</c:v>
                </c:pt>
                <c:pt idx="1">
                  <c:v>35</c:v>
                </c:pt>
                <c:pt idx="2">
                  <c:v>25</c:v>
                </c:pt>
                <c:pt idx="3">
                  <c:v>40</c:v>
                </c:pt>
                <c:pt idx="4">
                  <c:v>45</c:v>
                </c:pt>
                <c:pt idx="5">
                  <c:v>35</c:v>
                </c:pt>
                <c:pt idx="6">
                  <c:v>20</c:v>
                </c:pt>
                <c:pt idx="7">
                  <c:v>30</c:v>
                </c:pt>
                <c:pt idx="8">
                  <c:v>35</c:v>
                </c:pt>
                <c:pt idx="9">
                  <c:v>20</c:v>
                </c:pt>
                <c:pt idx="10">
                  <c:v>15</c:v>
                </c:pt>
                <c:pt idx="11">
                  <c:v>40</c:v>
                </c:pt>
                <c:pt idx="12">
                  <c:v>55</c:v>
                </c:pt>
                <c:pt idx="13">
                  <c:v>35</c:v>
                </c:pt>
                <c:pt idx="14">
                  <c:v>25</c:v>
                </c:pt>
                <c:pt idx="15">
                  <c:v>55</c:v>
                </c:pt>
                <c:pt idx="16">
                  <c:v>55</c:v>
                </c:pt>
                <c:pt idx="17">
                  <c:v>40</c:v>
                </c:pt>
                <c:pt idx="18">
                  <c:v>35</c:v>
                </c:pt>
                <c:pt idx="19">
                  <c:v>60</c:v>
                </c:pt>
                <c:pt idx="20">
                  <c:v>75</c:v>
                </c:pt>
                <c:pt idx="21">
                  <c:v>50</c:v>
                </c:pt>
                <c:pt idx="22">
                  <c:v>40</c:v>
                </c:pt>
                <c:pt idx="23">
                  <c:v>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20704"/>
        <c:axId val="27719168"/>
      </c:scatterChart>
      <c:valAx>
        <c:axId val="2772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719168"/>
        <c:crosses val="autoZero"/>
        <c:crossBetween val="midCat"/>
      </c:valAx>
      <c:valAx>
        <c:axId val="27719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7207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'Seasonal Models'!$A$3</c:f>
              <c:strCache>
                <c:ptCount val="1"/>
                <c:pt idx="0">
                  <c:v>Calls</c:v>
                </c:pt>
              </c:strCache>
            </c:strRef>
          </c:tx>
          <c:trendline>
            <c:trendlineType val="linear"/>
            <c:dispRSqr val="0"/>
            <c:dispEq val="1"/>
            <c:trendlineLbl>
              <c:layout>
                <c:manualLayout>
                  <c:x val="-9.8245746136232506E-2"/>
                  <c:y val="-0.11958297722588106"/>
                </c:manualLayout>
              </c:layout>
              <c:numFmt formatCode="General" sourceLinked="0"/>
            </c:trendlineLbl>
          </c:trendline>
          <c:trendline>
            <c:trendlineType val="linear"/>
            <c:dispRSqr val="0"/>
            <c:dispEq val="0"/>
          </c:trendline>
          <c:xVal>
            <c:numRef>
              <c:f>'Seasonal Models'!$B$4:$B$27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'Seasonal Models'!$A$4:$A$27</c:f>
              <c:numCache>
                <c:formatCode>General</c:formatCode>
                <c:ptCount val="24"/>
                <c:pt idx="0">
                  <c:v>50</c:v>
                </c:pt>
                <c:pt idx="1">
                  <c:v>35</c:v>
                </c:pt>
                <c:pt idx="2">
                  <c:v>25</c:v>
                </c:pt>
                <c:pt idx="3">
                  <c:v>40</c:v>
                </c:pt>
                <c:pt idx="4">
                  <c:v>45</c:v>
                </c:pt>
                <c:pt idx="5">
                  <c:v>35</c:v>
                </c:pt>
                <c:pt idx="6">
                  <c:v>20</c:v>
                </c:pt>
                <c:pt idx="7">
                  <c:v>30</c:v>
                </c:pt>
                <c:pt idx="8">
                  <c:v>35</c:v>
                </c:pt>
                <c:pt idx="9">
                  <c:v>20</c:v>
                </c:pt>
                <c:pt idx="10">
                  <c:v>15</c:v>
                </c:pt>
                <c:pt idx="11">
                  <c:v>40</c:v>
                </c:pt>
                <c:pt idx="12">
                  <c:v>55</c:v>
                </c:pt>
                <c:pt idx="13">
                  <c:v>35</c:v>
                </c:pt>
                <c:pt idx="14">
                  <c:v>25</c:v>
                </c:pt>
                <c:pt idx="15">
                  <c:v>55</c:v>
                </c:pt>
                <c:pt idx="16">
                  <c:v>55</c:v>
                </c:pt>
                <c:pt idx="17">
                  <c:v>40</c:v>
                </c:pt>
                <c:pt idx="18">
                  <c:v>35</c:v>
                </c:pt>
                <c:pt idx="19">
                  <c:v>60</c:v>
                </c:pt>
                <c:pt idx="20">
                  <c:v>75</c:v>
                </c:pt>
                <c:pt idx="21">
                  <c:v>50</c:v>
                </c:pt>
                <c:pt idx="22">
                  <c:v>40</c:v>
                </c:pt>
                <c:pt idx="23">
                  <c:v>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41824"/>
        <c:axId val="36943360"/>
      </c:scatterChart>
      <c:valAx>
        <c:axId val="3694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943360"/>
        <c:crosses val="autoZero"/>
        <c:crossBetween val="midCat"/>
      </c:valAx>
      <c:valAx>
        <c:axId val="36943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9418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442233</xdr:colOff>
      <xdr:row>2</xdr:row>
      <xdr:rowOff>47625</xdr:rowOff>
    </xdr:from>
    <xdr:to>
      <xdr:col>22</xdr:col>
      <xdr:colOff>565151</xdr:colOff>
      <xdr:row>17</xdr:row>
      <xdr:rowOff>54429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299360</xdr:colOff>
      <xdr:row>1</xdr:row>
      <xdr:rowOff>163286</xdr:rowOff>
    </xdr:from>
    <xdr:to>
      <xdr:col>20</xdr:col>
      <xdr:colOff>265339</xdr:colOff>
      <xdr:row>17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A8" zoomScale="140" zoomScaleNormal="140" workbookViewId="0">
      <selection activeCell="G19" sqref="G19"/>
    </sheetView>
  </sheetViews>
  <sheetFormatPr defaultRowHeight="15" x14ac:dyDescent="0.25"/>
  <cols>
    <col min="3" max="3" width="8.5703125" customWidth="1"/>
    <col min="4" max="5" width="8.28515625" customWidth="1"/>
    <col min="19" max="19" width="4.7109375" customWidth="1"/>
  </cols>
  <sheetData>
    <row r="1" spans="1:12" x14ac:dyDescent="0.25">
      <c r="A1" t="s">
        <v>0</v>
      </c>
    </row>
    <row r="2" spans="1:12" x14ac:dyDescent="0.25">
      <c r="I2" s="1">
        <v>0.3</v>
      </c>
    </row>
    <row r="3" spans="1:12" x14ac:dyDescent="0.25">
      <c r="A3" s="2" t="s">
        <v>1</v>
      </c>
      <c r="B3" s="21" t="s">
        <v>2</v>
      </c>
      <c r="C3" s="14" t="s">
        <v>3</v>
      </c>
      <c r="D3" s="2" t="s">
        <v>9</v>
      </c>
      <c r="E3" s="2" t="s">
        <v>12</v>
      </c>
      <c r="F3" s="14" t="s">
        <v>6</v>
      </c>
      <c r="G3" s="5" t="s">
        <v>9</v>
      </c>
      <c r="H3" s="5" t="s">
        <v>12</v>
      </c>
      <c r="I3" s="14" t="s">
        <v>7</v>
      </c>
      <c r="J3" s="5" t="s">
        <v>9</v>
      </c>
      <c r="K3" s="5" t="s">
        <v>12</v>
      </c>
    </row>
    <row r="4" spans="1:12" x14ac:dyDescent="0.25">
      <c r="A4" s="1">
        <v>1</v>
      </c>
      <c r="B4" s="22">
        <v>50</v>
      </c>
      <c r="C4" s="15"/>
      <c r="D4" s="1"/>
      <c r="E4" s="1"/>
      <c r="F4" s="16">
        <f t="shared" ref="F4:F27" si="0">1.0565*A4+27.627</f>
        <v>28.683499999999999</v>
      </c>
      <c r="G4" s="7">
        <f>ABS(B4-F4)</f>
        <v>21.316500000000001</v>
      </c>
      <c r="H4" s="7">
        <f>$B4-F4</f>
        <v>21.316500000000001</v>
      </c>
      <c r="I4" s="15">
        <f>B4</f>
        <v>50</v>
      </c>
      <c r="J4" s="7">
        <f>ABS(B4-I4)</f>
        <v>0</v>
      </c>
      <c r="K4" s="7">
        <f>$B4-I4</f>
        <v>0</v>
      </c>
      <c r="L4" s="1"/>
    </row>
    <row r="5" spans="1:12" x14ac:dyDescent="0.25">
      <c r="A5" s="1">
        <v>2</v>
      </c>
      <c r="B5" s="22">
        <v>35</v>
      </c>
      <c r="C5" s="15"/>
      <c r="D5" s="1"/>
      <c r="E5" s="1"/>
      <c r="F5" s="16">
        <f t="shared" si="0"/>
        <v>29.74</v>
      </c>
      <c r="G5" s="7">
        <f t="shared" ref="G5:G27" si="1">ABS(B5-F5)</f>
        <v>5.2600000000000016</v>
      </c>
      <c r="H5" s="7">
        <f>H4+($B5-F5)</f>
        <v>26.576500000000003</v>
      </c>
      <c r="I5" s="18">
        <f>I4+I$2*(B4-I4)</f>
        <v>50</v>
      </c>
      <c r="J5" s="7">
        <f t="shared" ref="J5:J27" si="2">ABS(B5-I5)</f>
        <v>15</v>
      </c>
      <c r="K5" s="7">
        <f>K4+($B5-I5)</f>
        <v>-15</v>
      </c>
      <c r="L5" s="1"/>
    </row>
    <row r="6" spans="1:12" x14ac:dyDescent="0.25">
      <c r="A6" s="1">
        <v>3</v>
      </c>
      <c r="B6" s="22">
        <v>25</v>
      </c>
      <c r="C6" s="15"/>
      <c r="D6" s="1"/>
      <c r="E6" s="1"/>
      <c r="F6" s="16">
        <f t="shared" si="0"/>
        <v>30.796499999999998</v>
      </c>
      <c r="G6" s="7">
        <f t="shared" si="1"/>
        <v>5.7964999999999982</v>
      </c>
      <c r="H6" s="7">
        <f t="shared" ref="H6:H27" si="3">H5+($B6-F6)</f>
        <v>20.780000000000005</v>
      </c>
      <c r="I6" s="18">
        <f t="shared" ref="I6:I28" si="4">I5+I$2*(B5-I5)</f>
        <v>45.5</v>
      </c>
      <c r="J6" s="7">
        <f t="shared" si="2"/>
        <v>20.5</v>
      </c>
      <c r="K6" s="7">
        <f t="shared" ref="K6:K27" si="5">K5+($B6-I6)</f>
        <v>-35.5</v>
      </c>
      <c r="L6" s="1"/>
    </row>
    <row r="7" spans="1:12" x14ac:dyDescent="0.25">
      <c r="A7" s="1">
        <v>4</v>
      </c>
      <c r="B7" s="22">
        <v>40</v>
      </c>
      <c r="C7" s="15"/>
      <c r="D7" s="1"/>
      <c r="E7" s="1"/>
      <c r="F7" s="16">
        <f t="shared" si="0"/>
        <v>31.852999999999998</v>
      </c>
      <c r="G7" s="7">
        <f t="shared" si="1"/>
        <v>8.147000000000002</v>
      </c>
      <c r="H7" s="7">
        <f t="shared" si="3"/>
        <v>28.927000000000007</v>
      </c>
      <c r="I7" s="18">
        <f t="shared" si="4"/>
        <v>39.35</v>
      </c>
      <c r="J7" s="7">
        <f t="shared" si="2"/>
        <v>0.64999999999999858</v>
      </c>
      <c r="K7" s="7">
        <f t="shared" si="5"/>
        <v>-34.85</v>
      </c>
      <c r="L7" s="1"/>
    </row>
    <row r="8" spans="1:12" x14ac:dyDescent="0.25">
      <c r="A8" s="1">
        <v>5</v>
      </c>
      <c r="B8" s="22">
        <v>45</v>
      </c>
      <c r="C8" s="16">
        <f>SUMPRODUCT(B4:B7,Sheet2!B$1:B$4)/SUM(Sheet2!B$1:B$4)</f>
        <v>36.428571428571431</v>
      </c>
      <c r="D8" s="7">
        <f>ABS(B8-C8)</f>
        <v>8.5714285714285694</v>
      </c>
      <c r="E8" s="7">
        <f>$B8-C8</f>
        <v>8.5714285714285694</v>
      </c>
      <c r="F8" s="16">
        <f t="shared" si="0"/>
        <v>32.909500000000001</v>
      </c>
      <c r="G8" s="7">
        <f t="shared" si="1"/>
        <v>12.090499999999999</v>
      </c>
      <c r="H8" s="7">
        <f t="shared" si="3"/>
        <v>41.017500000000005</v>
      </c>
      <c r="I8" s="18">
        <f t="shared" si="4"/>
        <v>39.545000000000002</v>
      </c>
      <c r="J8" s="7">
        <f t="shared" si="2"/>
        <v>5.4549999999999983</v>
      </c>
      <c r="K8" s="7">
        <f t="shared" si="5"/>
        <v>-29.395000000000003</v>
      </c>
      <c r="L8" s="1"/>
    </row>
    <row r="9" spans="1:12" x14ac:dyDescent="0.25">
      <c r="A9" s="1">
        <v>6</v>
      </c>
      <c r="B9" s="22">
        <v>35</v>
      </c>
      <c r="C9" s="16">
        <f>SUMPRODUCT(B5:B8,Sheet2!B$1:B$4)/SUM(Sheet2!B$1:B$4)</f>
        <v>39.285714285714285</v>
      </c>
      <c r="D9" s="7">
        <f t="shared" ref="D9:D27" si="6">ABS(B9-C9)</f>
        <v>4.2857142857142847</v>
      </c>
      <c r="E9" s="7">
        <f>E8+(B9-C9)</f>
        <v>4.2857142857142847</v>
      </c>
      <c r="F9" s="16">
        <f t="shared" si="0"/>
        <v>33.966000000000001</v>
      </c>
      <c r="G9" s="7">
        <f t="shared" si="1"/>
        <v>1.0339999999999989</v>
      </c>
      <c r="H9" s="7">
        <f t="shared" si="3"/>
        <v>42.051500000000004</v>
      </c>
      <c r="I9" s="18">
        <f t="shared" si="4"/>
        <v>41.1815</v>
      </c>
      <c r="J9" s="7">
        <f t="shared" si="2"/>
        <v>6.1814999999999998</v>
      </c>
      <c r="K9" s="7">
        <f t="shared" si="5"/>
        <v>-35.576500000000003</v>
      </c>
      <c r="L9" s="1"/>
    </row>
    <row r="10" spans="1:12" x14ac:dyDescent="0.25">
      <c r="A10" s="1">
        <v>7</v>
      </c>
      <c r="B10" s="22">
        <v>20</v>
      </c>
      <c r="C10" s="16">
        <f>SUMPRODUCT(B6:B9,Sheet2!B$1:B$4)/SUM(Sheet2!B$1:B$4)</f>
        <v>37.142857142857146</v>
      </c>
      <c r="D10" s="7">
        <f t="shared" si="6"/>
        <v>17.142857142857146</v>
      </c>
      <c r="E10" s="7">
        <f t="shared" ref="E10:E28" si="7">E9+(B10-C10)</f>
        <v>-12.857142857142861</v>
      </c>
      <c r="F10" s="16">
        <f t="shared" si="0"/>
        <v>35.022500000000001</v>
      </c>
      <c r="G10" s="7">
        <f t="shared" si="1"/>
        <v>15.022500000000001</v>
      </c>
      <c r="H10" s="7">
        <f t="shared" si="3"/>
        <v>27.029000000000003</v>
      </c>
      <c r="I10" s="18">
        <f t="shared" si="4"/>
        <v>39.32705</v>
      </c>
      <c r="J10" s="7">
        <f t="shared" si="2"/>
        <v>19.32705</v>
      </c>
      <c r="K10" s="7">
        <f t="shared" si="5"/>
        <v>-54.903550000000003</v>
      </c>
      <c r="L10" s="1"/>
    </row>
    <row r="11" spans="1:12" x14ac:dyDescent="0.25">
      <c r="A11" s="1">
        <v>8</v>
      </c>
      <c r="B11" s="22">
        <v>30</v>
      </c>
      <c r="C11" s="16">
        <f>SUMPRODUCT(B7:B10,Sheet2!B$1:B$4)/SUM(Sheet2!B$1:B$4)</f>
        <v>30.714285714285715</v>
      </c>
      <c r="D11" s="7">
        <f t="shared" si="6"/>
        <v>0.7142857142857153</v>
      </c>
      <c r="E11" s="7">
        <f t="shared" si="7"/>
        <v>-13.571428571428577</v>
      </c>
      <c r="F11" s="16">
        <f t="shared" si="0"/>
        <v>36.079000000000001</v>
      </c>
      <c r="G11" s="7">
        <f t="shared" si="1"/>
        <v>6.0790000000000006</v>
      </c>
      <c r="H11" s="7">
        <f t="shared" si="3"/>
        <v>20.950000000000003</v>
      </c>
      <c r="I11" s="18">
        <f t="shared" si="4"/>
        <v>33.528934999999997</v>
      </c>
      <c r="J11" s="7">
        <f t="shared" si="2"/>
        <v>3.528934999999997</v>
      </c>
      <c r="K11" s="7">
        <f t="shared" si="5"/>
        <v>-58.432485</v>
      </c>
      <c r="L11" s="1"/>
    </row>
    <row r="12" spans="1:12" x14ac:dyDescent="0.25">
      <c r="A12" s="1">
        <v>9</v>
      </c>
      <c r="B12" s="22">
        <v>35</v>
      </c>
      <c r="C12" s="16">
        <f>SUMPRODUCT(B8:B11,Sheet2!B$1:B$4)/SUM(Sheet2!B$1:B$4)</f>
        <v>30</v>
      </c>
      <c r="D12" s="7">
        <f t="shared" si="6"/>
        <v>5</v>
      </c>
      <c r="E12" s="7">
        <f t="shared" si="7"/>
        <v>-8.5714285714285765</v>
      </c>
      <c r="F12" s="16">
        <f t="shared" si="0"/>
        <v>37.1355</v>
      </c>
      <c r="G12" s="7">
        <f t="shared" si="1"/>
        <v>2.1355000000000004</v>
      </c>
      <c r="H12" s="7">
        <f t="shared" si="3"/>
        <v>18.814500000000002</v>
      </c>
      <c r="I12" s="18">
        <f t="shared" si="4"/>
        <v>32.470254499999996</v>
      </c>
      <c r="J12" s="7">
        <f t="shared" si="2"/>
        <v>2.5297455000000042</v>
      </c>
      <c r="K12" s="7">
        <f t="shared" si="5"/>
        <v>-55.902739499999996</v>
      </c>
      <c r="L12" s="1"/>
    </row>
    <row r="13" spans="1:12" x14ac:dyDescent="0.25">
      <c r="A13" s="1">
        <v>10</v>
      </c>
      <c r="B13" s="22">
        <v>20</v>
      </c>
      <c r="C13" s="16">
        <f>SUMPRODUCT(B9:B12,Sheet2!B$1:B$4)/SUM(Sheet2!B$1:B$4)</f>
        <v>31.428571428571427</v>
      </c>
      <c r="D13" s="7">
        <f t="shared" si="6"/>
        <v>11.428571428571427</v>
      </c>
      <c r="E13" s="7">
        <f t="shared" si="7"/>
        <v>-20.000000000000004</v>
      </c>
      <c r="F13" s="16">
        <f t="shared" si="0"/>
        <v>38.192</v>
      </c>
      <c r="G13" s="7">
        <f t="shared" si="1"/>
        <v>18.192</v>
      </c>
      <c r="H13" s="7">
        <f t="shared" si="3"/>
        <v>0.62250000000000227</v>
      </c>
      <c r="I13" s="18">
        <f t="shared" si="4"/>
        <v>33.229178149999996</v>
      </c>
      <c r="J13" s="7">
        <f t="shared" si="2"/>
        <v>13.229178149999996</v>
      </c>
      <c r="K13" s="7">
        <f t="shared" si="5"/>
        <v>-69.131917649999991</v>
      </c>
      <c r="L13" s="1"/>
    </row>
    <row r="14" spans="1:12" x14ac:dyDescent="0.25">
      <c r="A14" s="1">
        <v>11</v>
      </c>
      <c r="B14" s="22">
        <v>15</v>
      </c>
      <c r="C14" s="16">
        <f>SUMPRODUCT(B10:B13,Sheet2!B$1:B$4)/SUM(Sheet2!B$1:B$4)</f>
        <v>25.714285714285715</v>
      </c>
      <c r="D14" s="7">
        <f t="shared" si="6"/>
        <v>10.714285714285715</v>
      </c>
      <c r="E14" s="7">
        <f t="shared" si="7"/>
        <v>-30.714285714285719</v>
      </c>
      <c r="F14" s="16">
        <f t="shared" si="0"/>
        <v>39.2485</v>
      </c>
      <c r="G14" s="7">
        <f t="shared" si="1"/>
        <v>24.2485</v>
      </c>
      <c r="H14" s="7">
        <f t="shared" si="3"/>
        <v>-23.625999999999998</v>
      </c>
      <c r="I14" s="18">
        <f t="shared" si="4"/>
        <v>29.260424704999998</v>
      </c>
      <c r="J14" s="7">
        <f t="shared" si="2"/>
        <v>14.260424704999998</v>
      </c>
      <c r="K14" s="7">
        <f t="shared" si="5"/>
        <v>-83.392342354999982</v>
      </c>
      <c r="L14" s="1"/>
    </row>
    <row r="15" spans="1:12" x14ac:dyDescent="0.25">
      <c r="A15" s="1">
        <v>12</v>
      </c>
      <c r="B15" s="22">
        <v>40</v>
      </c>
      <c r="C15" s="16">
        <f>SUMPRODUCT(B11:B14,Sheet2!B$1:B$4)/SUM(Sheet2!B$1:B$4)</f>
        <v>21.428571428571427</v>
      </c>
      <c r="D15" s="7">
        <f t="shared" si="6"/>
        <v>18.571428571428573</v>
      </c>
      <c r="E15" s="7">
        <f t="shared" si="7"/>
        <v>-12.142857142857146</v>
      </c>
      <c r="F15" s="16">
        <f t="shared" si="0"/>
        <v>40.305</v>
      </c>
      <c r="G15" s="7">
        <f t="shared" si="1"/>
        <v>0.30499999999999972</v>
      </c>
      <c r="H15" s="7">
        <f t="shared" si="3"/>
        <v>-23.930999999999997</v>
      </c>
      <c r="I15" s="18">
        <f t="shared" si="4"/>
        <v>24.9822972935</v>
      </c>
      <c r="J15" s="7">
        <f t="shared" si="2"/>
        <v>15.0177027065</v>
      </c>
      <c r="K15" s="7">
        <f t="shared" si="5"/>
        <v>-68.374639648499979</v>
      </c>
      <c r="L15" s="1"/>
    </row>
    <row r="16" spans="1:12" x14ac:dyDescent="0.25">
      <c r="A16" s="1">
        <v>13</v>
      </c>
      <c r="B16" s="22">
        <v>55</v>
      </c>
      <c r="C16" s="16">
        <f>SUMPRODUCT(B12:B15,Sheet2!B$1:B$4)/SUM(Sheet2!B$1:B$4)</f>
        <v>29.285714285714285</v>
      </c>
      <c r="D16" s="7">
        <f t="shared" si="6"/>
        <v>25.714285714285715</v>
      </c>
      <c r="E16" s="7">
        <f t="shared" si="7"/>
        <v>13.571428571428569</v>
      </c>
      <c r="F16" s="16">
        <f t="shared" si="0"/>
        <v>41.361499999999999</v>
      </c>
      <c r="G16" s="7">
        <f t="shared" si="1"/>
        <v>13.638500000000001</v>
      </c>
      <c r="H16" s="7">
        <f t="shared" si="3"/>
        <v>-10.292499999999997</v>
      </c>
      <c r="I16" s="18">
        <f t="shared" si="4"/>
        <v>29.487608105450001</v>
      </c>
      <c r="J16" s="7">
        <f t="shared" si="2"/>
        <v>25.512391894549999</v>
      </c>
      <c r="K16" s="7">
        <f t="shared" si="5"/>
        <v>-42.86224775394998</v>
      </c>
      <c r="L16" s="1"/>
    </row>
    <row r="17" spans="1:19" x14ac:dyDescent="0.25">
      <c r="A17" s="1">
        <v>14</v>
      </c>
      <c r="B17" s="22">
        <v>35</v>
      </c>
      <c r="C17" s="16">
        <f>SUMPRODUCT(B13:B16,Sheet2!B$1:B$4)/SUM(Sheet2!B$1:B$4)</f>
        <v>40</v>
      </c>
      <c r="D17" s="7">
        <f t="shared" si="6"/>
        <v>5</v>
      </c>
      <c r="E17" s="7">
        <f t="shared" si="7"/>
        <v>8.5714285714285694</v>
      </c>
      <c r="F17" s="16">
        <f t="shared" si="0"/>
        <v>42.417999999999999</v>
      </c>
      <c r="G17" s="7">
        <f t="shared" si="1"/>
        <v>7.4179999999999993</v>
      </c>
      <c r="H17" s="7">
        <f t="shared" si="3"/>
        <v>-17.710499999999996</v>
      </c>
      <c r="I17" s="18">
        <f t="shared" si="4"/>
        <v>37.141325673815004</v>
      </c>
      <c r="J17" s="7">
        <f t="shared" si="2"/>
        <v>2.1413256738150039</v>
      </c>
      <c r="K17" s="7">
        <f t="shared" si="5"/>
        <v>-45.003573427764984</v>
      </c>
      <c r="L17" s="1"/>
    </row>
    <row r="18" spans="1:19" x14ac:dyDescent="0.25">
      <c r="A18" s="1">
        <v>15</v>
      </c>
      <c r="B18" s="22">
        <v>25</v>
      </c>
      <c r="C18" s="16">
        <f>SUMPRODUCT(B14:B17,Sheet2!B$1:B$4)/SUM(Sheet2!B$1:B$4)</f>
        <v>38.571428571428569</v>
      </c>
      <c r="D18" s="7">
        <f t="shared" si="6"/>
        <v>13.571428571428569</v>
      </c>
      <c r="E18" s="7">
        <f t="shared" si="7"/>
        <v>-5</v>
      </c>
      <c r="F18" s="16">
        <f t="shared" si="0"/>
        <v>43.474499999999999</v>
      </c>
      <c r="G18" s="7">
        <f t="shared" si="1"/>
        <v>18.474499999999999</v>
      </c>
      <c r="H18" s="7">
        <f t="shared" si="3"/>
        <v>-36.184999999999995</v>
      </c>
      <c r="I18" s="18">
        <f t="shared" si="4"/>
        <v>36.498927971670504</v>
      </c>
      <c r="J18" s="7">
        <f t="shared" si="2"/>
        <v>11.498927971670504</v>
      </c>
      <c r="K18" s="7">
        <f t="shared" si="5"/>
        <v>-56.502501399435488</v>
      </c>
      <c r="L18" s="1"/>
    </row>
    <row r="19" spans="1:19" x14ac:dyDescent="0.25">
      <c r="A19" s="1">
        <v>16</v>
      </c>
      <c r="B19" s="22">
        <v>55</v>
      </c>
      <c r="C19" s="16">
        <f>SUMPRODUCT(B15:B18,Sheet2!B$1:B$4)/SUM(Sheet2!B$1:B$4)</f>
        <v>34.285714285714285</v>
      </c>
      <c r="D19" s="7">
        <f t="shared" si="6"/>
        <v>20.714285714285715</v>
      </c>
      <c r="E19" s="7">
        <f t="shared" si="7"/>
        <v>15.714285714285715</v>
      </c>
      <c r="F19" s="16">
        <f t="shared" si="0"/>
        <v>44.530999999999999</v>
      </c>
      <c r="G19" s="7">
        <f t="shared" si="1"/>
        <v>10.469000000000001</v>
      </c>
      <c r="H19" s="7">
        <f t="shared" si="3"/>
        <v>-25.715999999999994</v>
      </c>
      <c r="I19" s="18">
        <f t="shared" si="4"/>
        <v>33.049249580169352</v>
      </c>
      <c r="J19" s="7">
        <f t="shared" si="2"/>
        <v>21.950750419830648</v>
      </c>
      <c r="K19" s="7">
        <f t="shared" si="5"/>
        <v>-34.55175097960484</v>
      </c>
      <c r="L19" s="1"/>
    </row>
    <row r="20" spans="1:19" x14ac:dyDescent="0.25">
      <c r="A20" s="1">
        <v>17</v>
      </c>
      <c r="B20" s="22">
        <v>55</v>
      </c>
      <c r="C20" s="16">
        <f>SUMPRODUCT(B16:B19,Sheet2!B$1:B$4)/SUM(Sheet2!B$1:B$4)</f>
        <v>43.571428571428569</v>
      </c>
      <c r="D20" s="7">
        <f t="shared" si="6"/>
        <v>11.428571428571431</v>
      </c>
      <c r="E20" s="7">
        <f t="shared" si="7"/>
        <v>27.142857142857146</v>
      </c>
      <c r="F20" s="16">
        <f t="shared" si="0"/>
        <v>45.587499999999999</v>
      </c>
      <c r="G20" s="7">
        <f t="shared" si="1"/>
        <v>9.4125000000000014</v>
      </c>
      <c r="H20" s="7">
        <f t="shared" si="3"/>
        <v>-16.303499999999993</v>
      </c>
      <c r="I20" s="18">
        <f t="shared" si="4"/>
        <v>39.634474706118546</v>
      </c>
      <c r="J20" s="7">
        <f t="shared" si="2"/>
        <v>15.365525293881454</v>
      </c>
      <c r="K20" s="7">
        <f t="shared" si="5"/>
        <v>-19.186225685723386</v>
      </c>
      <c r="L20" s="1"/>
      <c r="Q20" s="11" t="s">
        <v>8</v>
      </c>
      <c r="R20" s="11"/>
      <c r="S20" s="9">
        <f>AVERAGE(C28:K28)</f>
        <v>33.459608536145559</v>
      </c>
    </row>
    <row r="21" spans="1:19" x14ac:dyDescent="0.25">
      <c r="A21" s="1">
        <v>18</v>
      </c>
      <c r="B21" s="22">
        <v>40</v>
      </c>
      <c r="C21" s="16">
        <f>SUMPRODUCT(B17:B20,Sheet2!B$1:B$4)/SUM(Sheet2!B$1:B$4)</f>
        <v>47.857142857142854</v>
      </c>
      <c r="D21" s="7">
        <f t="shared" si="6"/>
        <v>7.8571428571428541</v>
      </c>
      <c r="E21" s="7">
        <f t="shared" si="7"/>
        <v>19.285714285714292</v>
      </c>
      <c r="F21" s="16">
        <f t="shared" si="0"/>
        <v>46.643999999999998</v>
      </c>
      <c r="G21" s="7">
        <f t="shared" si="1"/>
        <v>6.6439999999999984</v>
      </c>
      <c r="H21" s="7">
        <f t="shared" si="3"/>
        <v>-22.947499999999991</v>
      </c>
      <c r="I21" s="18">
        <f t="shared" si="4"/>
        <v>44.244132294282984</v>
      </c>
      <c r="J21" s="7">
        <f t="shared" si="2"/>
        <v>4.2441322942829842</v>
      </c>
      <c r="K21" s="7">
        <f t="shared" si="5"/>
        <v>-23.43035798000637</v>
      </c>
      <c r="L21" s="1"/>
    </row>
    <row r="22" spans="1:19" x14ac:dyDescent="0.25">
      <c r="A22" s="1">
        <v>19</v>
      </c>
      <c r="B22" s="22">
        <v>35</v>
      </c>
      <c r="C22" s="16">
        <f>SUMPRODUCT(B18:B21,Sheet2!B$1:B$4)/SUM(Sheet2!B$1:B$4)</f>
        <v>44.285714285714285</v>
      </c>
      <c r="D22" s="7">
        <f t="shared" si="6"/>
        <v>9.2857142857142847</v>
      </c>
      <c r="E22" s="7">
        <f t="shared" si="7"/>
        <v>10.000000000000007</v>
      </c>
      <c r="F22" s="16">
        <f t="shared" si="0"/>
        <v>47.700499999999998</v>
      </c>
      <c r="G22" s="7">
        <f t="shared" si="1"/>
        <v>12.700499999999998</v>
      </c>
      <c r="H22" s="7">
        <f t="shared" si="3"/>
        <v>-35.647999999999989</v>
      </c>
      <c r="I22" s="18">
        <f t="shared" si="4"/>
        <v>42.970892605998088</v>
      </c>
      <c r="J22" s="7">
        <f t="shared" si="2"/>
        <v>7.9708926059980882</v>
      </c>
      <c r="K22" s="7">
        <f t="shared" si="5"/>
        <v>-31.401250586004458</v>
      </c>
      <c r="L22" s="1"/>
    </row>
    <row r="23" spans="1:19" x14ac:dyDescent="0.25">
      <c r="A23" s="1">
        <v>20</v>
      </c>
      <c r="B23" s="22">
        <v>60</v>
      </c>
      <c r="C23" s="16">
        <f>SUMPRODUCT(B19:B22,Sheet2!B$1:B$4)/SUM(Sheet2!B$1:B$4)</f>
        <v>42.142857142857146</v>
      </c>
      <c r="D23" s="7">
        <f t="shared" si="6"/>
        <v>17.857142857142854</v>
      </c>
      <c r="E23" s="7">
        <f t="shared" si="7"/>
        <v>27.857142857142861</v>
      </c>
      <c r="F23" s="16">
        <f t="shared" si="0"/>
        <v>48.756999999999998</v>
      </c>
      <c r="G23" s="7">
        <f t="shared" si="1"/>
        <v>11.243000000000002</v>
      </c>
      <c r="H23" s="7">
        <f t="shared" si="3"/>
        <v>-24.404999999999987</v>
      </c>
      <c r="I23" s="18">
        <f t="shared" si="4"/>
        <v>40.57962482419866</v>
      </c>
      <c r="J23" s="7">
        <f t="shared" si="2"/>
        <v>19.42037517580134</v>
      </c>
      <c r="K23" s="7">
        <f t="shared" si="5"/>
        <v>-11.980875410203119</v>
      </c>
      <c r="L23" s="1"/>
    </row>
    <row r="24" spans="1:19" x14ac:dyDescent="0.25">
      <c r="A24" s="1">
        <v>21</v>
      </c>
      <c r="B24" s="22">
        <v>75</v>
      </c>
      <c r="C24" s="16">
        <f>SUMPRODUCT(B20:B23,Sheet2!B$1:B$4)/SUM(Sheet2!B$1:B$4)</f>
        <v>49.285714285714285</v>
      </c>
      <c r="D24" s="7">
        <f t="shared" si="6"/>
        <v>25.714285714285715</v>
      </c>
      <c r="E24" s="7">
        <f t="shared" si="7"/>
        <v>53.571428571428577</v>
      </c>
      <c r="F24" s="16">
        <f t="shared" si="0"/>
        <v>49.813499999999998</v>
      </c>
      <c r="G24" s="7">
        <f t="shared" si="1"/>
        <v>25.186500000000002</v>
      </c>
      <c r="H24" s="7">
        <f t="shared" si="3"/>
        <v>0.7815000000000154</v>
      </c>
      <c r="I24" s="18">
        <f t="shared" si="4"/>
        <v>46.405737376939065</v>
      </c>
      <c r="J24" s="7">
        <f t="shared" si="2"/>
        <v>28.594262623060935</v>
      </c>
      <c r="K24" s="7">
        <f t="shared" si="5"/>
        <v>16.613387212857816</v>
      </c>
      <c r="L24" s="1"/>
    </row>
    <row r="25" spans="1:19" x14ac:dyDescent="0.25">
      <c r="A25" s="1">
        <v>22</v>
      </c>
      <c r="B25" s="22">
        <v>50</v>
      </c>
      <c r="C25" s="16">
        <f>SUMPRODUCT(B21:B24,Sheet2!B$1:B$4)/SUM(Sheet2!B$1:B$4)</f>
        <v>60</v>
      </c>
      <c r="D25" s="7">
        <f t="shared" si="6"/>
        <v>10</v>
      </c>
      <c r="E25" s="7">
        <f t="shared" si="7"/>
        <v>43.571428571428577</v>
      </c>
      <c r="F25" s="16">
        <f t="shared" si="0"/>
        <v>50.87</v>
      </c>
      <c r="G25" s="7">
        <f t="shared" si="1"/>
        <v>0.86999999999999744</v>
      </c>
      <c r="H25" s="7">
        <f t="shared" si="3"/>
        <v>-8.8499999999982037E-2</v>
      </c>
      <c r="I25" s="18">
        <f t="shared" si="4"/>
        <v>54.984016163857348</v>
      </c>
      <c r="J25" s="7">
        <f t="shared" si="2"/>
        <v>4.9840161638573477</v>
      </c>
      <c r="K25" s="7">
        <f t="shared" si="5"/>
        <v>11.629371049000468</v>
      </c>
      <c r="L25" s="1"/>
    </row>
    <row r="26" spans="1:19" x14ac:dyDescent="0.25">
      <c r="A26" s="1">
        <v>23</v>
      </c>
      <c r="B26" s="22">
        <v>40</v>
      </c>
      <c r="C26" s="16">
        <f>SUMPRODUCT(B22:B25,Sheet2!B$1:B$4)/SUM(Sheet2!B$1:B$4)</f>
        <v>56.428571428571431</v>
      </c>
      <c r="D26" s="7">
        <f t="shared" si="6"/>
        <v>16.428571428571431</v>
      </c>
      <c r="E26" s="7">
        <f t="shared" si="7"/>
        <v>27.142857142857146</v>
      </c>
      <c r="F26" s="16">
        <f t="shared" si="0"/>
        <v>51.926499999999997</v>
      </c>
      <c r="G26" s="7">
        <f t="shared" si="1"/>
        <v>11.926499999999997</v>
      </c>
      <c r="H26" s="7">
        <f t="shared" si="3"/>
        <v>-12.014999999999979</v>
      </c>
      <c r="I26" s="18">
        <f t="shared" si="4"/>
        <v>53.488811314700143</v>
      </c>
      <c r="J26" s="7">
        <f t="shared" si="2"/>
        <v>13.488811314700143</v>
      </c>
      <c r="K26" s="7">
        <f t="shared" si="5"/>
        <v>-1.8594402656996749</v>
      </c>
      <c r="L26" s="1"/>
    </row>
    <row r="27" spans="1:19" x14ac:dyDescent="0.25">
      <c r="A27" s="1">
        <v>24</v>
      </c>
      <c r="B27" s="22">
        <v>65</v>
      </c>
      <c r="C27" s="16">
        <f>SUMPRODUCT(B23:B26,Sheet2!B$1:B$4)/SUM(Sheet2!B$1:B$4)</f>
        <v>50.714285714285715</v>
      </c>
      <c r="D27" s="7">
        <f t="shared" si="6"/>
        <v>14.285714285714285</v>
      </c>
      <c r="E27" s="13">
        <f t="shared" si="7"/>
        <v>41.428571428571431</v>
      </c>
      <c r="F27" s="16">
        <f t="shared" si="0"/>
        <v>52.983000000000004</v>
      </c>
      <c r="G27" s="13">
        <f t="shared" si="1"/>
        <v>12.016999999999996</v>
      </c>
      <c r="H27" s="13">
        <f t="shared" si="3"/>
        <v>2.0000000000166551E-3</v>
      </c>
      <c r="I27" s="19">
        <f t="shared" si="4"/>
        <v>49.442167920290103</v>
      </c>
      <c r="J27" s="7">
        <f t="shared" si="2"/>
        <v>15.557832079709897</v>
      </c>
      <c r="K27" s="13">
        <f t="shared" si="5"/>
        <v>13.698391814010222</v>
      </c>
      <c r="L27" s="1"/>
    </row>
    <row r="28" spans="1:19" x14ac:dyDescent="0.25">
      <c r="A28" s="3">
        <v>25</v>
      </c>
      <c r="B28" s="23" t="s">
        <v>5</v>
      </c>
      <c r="C28" s="17">
        <f>SUMPRODUCT(B24:B27,Sheet2!B$1:B$4)/SUM(Sheet2!B$1:B$4)</f>
        <v>57.142857142857146</v>
      </c>
      <c r="D28" s="4">
        <f>AVERAGE(D8:D27)</f>
        <v>12.714285714285714</v>
      </c>
      <c r="E28" s="7"/>
      <c r="F28" s="17">
        <f>1.0565*A28+27.627</f>
        <v>54.039500000000004</v>
      </c>
      <c r="G28" s="12">
        <f>AVERAGE(G4:G27)</f>
        <v>10.81779166666667</v>
      </c>
      <c r="H28" s="12"/>
      <c r="I28" s="20">
        <f t="shared" si="4"/>
        <v>54.109517544203072</v>
      </c>
      <c r="J28" s="4">
        <f>AVERAGE(J4:J27)</f>
        <v>11.933699148860763</v>
      </c>
      <c r="K28" s="4"/>
      <c r="L28" s="4"/>
    </row>
    <row r="29" spans="1:19" x14ac:dyDescent="0.25">
      <c r="C29" s="7">
        <f>(0.8*D28)/SQRT(COUNT(D8:D27))*1.96</f>
        <v>4.4578251199435801</v>
      </c>
      <c r="D29" s="1"/>
      <c r="E29" s="1"/>
      <c r="F29" s="7">
        <f>(0.8*G28)/SQRT(COUNT(G4:G27))*1.96</f>
        <v>3.462414444336539</v>
      </c>
      <c r="G29" s="1"/>
      <c r="H29" s="1"/>
      <c r="I29" s="7">
        <f>(0.8*J28)/SQRT(COUNT(J4:J27))*1.96</f>
        <v>3.8195792247230518</v>
      </c>
      <c r="J29" s="1"/>
    </row>
    <row r="30" spans="1:19" x14ac:dyDescent="0.25">
      <c r="A30" s="10" t="s">
        <v>10</v>
      </c>
      <c r="C30" s="8">
        <f>C28-C29</f>
        <v>52.685032022913568</v>
      </c>
      <c r="F30" s="8">
        <f>F28-F29</f>
        <v>50.577085555663466</v>
      </c>
      <c r="I30" s="8">
        <f>I28-I29</f>
        <v>50.289938319480022</v>
      </c>
    </row>
    <row r="31" spans="1:19" x14ac:dyDescent="0.25">
      <c r="A31" s="10"/>
      <c r="C31" s="8">
        <f>C28+C29</f>
        <v>61.600682262800724</v>
      </c>
      <c r="F31" s="8">
        <f>F28+F29</f>
        <v>57.501914444336542</v>
      </c>
      <c r="I31" s="8">
        <f>I28+I29</f>
        <v>57.929096768926122</v>
      </c>
    </row>
    <row r="32" spans="1:19" x14ac:dyDescent="0.25">
      <c r="A32" s="1" t="s">
        <v>11</v>
      </c>
      <c r="C32" s="7">
        <f>E27/D28</f>
        <v>3.2584269662921352</v>
      </c>
      <c r="D32" s="7"/>
      <c r="E32" s="7"/>
      <c r="F32" s="7">
        <f>H27/G28</f>
        <v>1.8488061719466661E-4</v>
      </c>
      <c r="G32" s="7"/>
      <c r="H32" s="7"/>
      <c r="I32" s="7">
        <f>K27/J28</f>
        <v>1.1478747405256922</v>
      </c>
    </row>
  </sheetData>
  <mergeCells count="2">
    <mergeCell ref="Q20:R20"/>
    <mergeCell ref="A30:A31"/>
  </mergeCells>
  <pageMargins left="0.7" right="0.7" top="0.75" bottom="0.75" header="0.3" footer="0.3"/>
  <pageSetup orientation="portrait" horizontalDpi="1200" verticalDpi="1200" r:id="rId1"/>
  <ignoredErrors>
    <ignoredError sqref="C8" formulaRange="1"/>
    <ignoredError sqref="I2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160" zoomScaleNormal="160" workbookViewId="0">
      <selection activeCell="B18" sqref="B18"/>
    </sheetView>
  </sheetViews>
  <sheetFormatPr defaultRowHeight="15" x14ac:dyDescent="0.25"/>
  <cols>
    <col min="1" max="1" width="16.140625" customWidth="1"/>
    <col min="2" max="2" width="13.28515625" customWidth="1"/>
    <col min="6" max="6" width="16" customWidth="1"/>
  </cols>
  <sheetData>
    <row r="1" spans="1:9" x14ac:dyDescent="0.25">
      <c r="A1" t="s">
        <v>16</v>
      </c>
    </row>
    <row r="2" spans="1:9" ht="15.75" thickBot="1" x14ac:dyDescent="0.3"/>
    <row r="3" spans="1:9" x14ac:dyDescent="0.25">
      <c r="A3" s="34" t="s">
        <v>17</v>
      </c>
      <c r="B3" s="34"/>
    </row>
    <row r="4" spans="1:9" x14ac:dyDescent="0.25">
      <c r="A4" s="31" t="s">
        <v>18</v>
      </c>
      <c r="B4" s="31">
        <v>0.87110631133145411</v>
      </c>
    </row>
    <row r="5" spans="1:9" x14ac:dyDescent="0.25">
      <c r="A5" s="31" t="s">
        <v>19</v>
      </c>
      <c r="B5" s="31">
        <v>0.75882620564149228</v>
      </c>
    </row>
    <row r="6" spans="1:9" x14ac:dyDescent="0.25">
      <c r="A6" s="31" t="s">
        <v>20</v>
      </c>
      <c r="B6" s="31">
        <v>0.70805277525022758</v>
      </c>
    </row>
    <row r="7" spans="1:9" x14ac:dyDescent="0.25">
      <c r="A7" s="31" t="s">
        <v>21</v>
      </c>
      <c r="B7" s="31">
        <v>8.1503724717690922</v>
      </c>
    </row>
    <row r="8" spans="1:9" ht="15.75" thickBot="1" x14ac:dyDescent="0.3">
      <c r="A8" s="32" t="s">
        <v>22</v>
      </c>
      <c r="B8" s="32">
        <v>24</v>
      </c>
    </row>
    <row r="10" spans="1:9" ht="15.75" thickBot="1" x14ac:dyDescent="0.3">
      <c r="A10" t="s">
        <v>23</v>
      </c>
    </row>
    <row r="11" spans="1:9" x14ac:dyDescent="0.25">
      <c r="A11" s="33"/>
      <c r="B11" s="33" t="s">
        <v>28</v>
      </c>
      <c r="C11" s="33" t="s">
        <v>29</v>
      </c>
      <c r="D11" s="33" t="s">
        <v>30</v>
      </c>
      <c r="E11" s="33" t="s">
        <v>31</v>
      </c>
      <c r="F11" s="33" t="s">
        <v>32</v>
      </c>
    </row>
    <row r="12" spans="1:9" x14ac:dyDescent="0.25">
      <c r="A12" s="31" t="s">
        <v>24</v>
      </c>
      <c r="B12" s="31">
        <v>4</v>
      </c>
      <c r="C12" s="31">
        <v>3971.1904761904752</v>
      </c>
      <c r="D12" s="31">
        <v>992.79761904761881</v>
      </c>
      <c r="E12" s="31">
        <v>14.945340501792113</v>
      </c>
      <c r="F12" s="31">
        <v>1.1128032051230633E-5</v>
      </c>
    </row>
    <row r="13" spans="1:9" x14ac:dyDescent="0.25">
      <c r="A13" s="31" t="s">
        <v>25</v>
      </c>
      <c r="B13" s="31">
        <v>19</v>
      </c>
      <c r="C13" s="31">
        <v>1262.1428571428569</v>
      </c>
      <c r="D13" s="31">
        <v>66.428571428571416</v>
      </c>
      <c r="E13" s="31"/>
      <c r="F13" s="31"/>
    </row>
    <row r="14" spans="1:9" ht="15.75" thickBot="1" x14ac:dyDescent="0.3">
      <c r="A14" s="32" t="s">
        <v>26</v>
      </c>
      <c r="B14" s="32">
        <v>23</v>
      </c>
      <c r="C14" s="32">
        <v>5233.3333333333321</v>
      </c>
      <c r="D14" s="32"/>
      <c r="E14" s="32"/>
      <c r="F14" s="32"/>
    </row>
    <row r="15" spans="1:9" ht="15.75" thickBot="1" x14ac:dyDescent="0.3"/>
    <row r="16" spans="1:9" x14ac:dyDescent="0.25">
      <c r="A16" s="33"/>
      <c r="B16" s="33" t="s">
        <v>33</v>
      </c>
      <c r="C16" s="33" t="s">
        <v>21</v>
      </c>
      <c r="D16" s="33" t="s">
        <v>34</v>
      </c>
      <c r="E16" s="33" t="s">
        <v>35</v>
      </c>
      <c r="F16" s="33" t="s">
        <v>36</v>
      </c>
      <c r="G16" s="33" t="s">
        <v>37</v>
      </c>
      <c r="H16" s="33" t="s">
        <v>38</v>
      </c>
      <c r="I16" s="33" t="s">
        <v>39</v>
      </c>
    </row>
    <row r="17" spans="1:9" x14ac:dyDescent="0.25">
      <c r="A17" s="31" t="s">
        <v>27</v>
      </c>
      <c r="B17" s="31">
        <v>32.333333333333336</v>
      </c>
      <c r="C17" s="31">
        <v>4.7640768855496614</v>
      </c>
      <c r="D17" s="31">
        <v>6.7869041810400663</v>
      </c>
      <c r="E17" s="31">
        <v>1.758756736007842E-6</v>
      </c>
      <c r="F17" s="31">
        <v>22.36200581482727</v>
      </c>
      <c r="G17" s="31">
        <v>42.304660851839401</v>
      </c>
      <c r="H17" s="31">
        <v>22.36200581482727</v>
      </c>
      <c r="I17" s="31">
        <v>42.304660851839401</v>
      </c>
    </row>
    <row r="18" spans="1:9" x14ac:dyDescent="0.25">
      <c r="A18" s="31" t="s">
        <v>1</v>
      </c>
      <c r="B18" s="31">
        <v>1.1428571428571428</v>
      </c>
      <c r="C18" s="31">
        <v>0.24353895887474739</v>
      </c>
      <c r="D18" s="31">
        <v>4.6927076806833057</v>
      </c>
      <c r="E18" s="31">
        <v>1.5850974524243871E-4</v>
      </c>
      <c r="F18" s="31">
        <v>0.63312424374674048</v>
      </c>
      <c r="G18" s="31">
        <v>1.652590041967545</v>
      </c>
      <c r="H18" s="31">
        <v>0.63312424374674048</v>
      </c>
      <c r="I18" s="31">
        <v>1.652590041967545</v>
      </c>
    </row>
    <row r="19" spans="1:9" x14ac:dyDescent="0.25">
      <c r="A19" s="31" t="s">
        <v>13</v>
      </c>
      <c r="B19" s="31">
        <v>7.595238095238094</v>
      </c>
      <c r="C19" s="31">
        <v>4.7620014871128822</v>
      </c>
      <c r="D19" s="31">
        <v>1.5949676025496065</v>
      </c>
      <c r="E19" s="31">
        <v>0.12721886849403818</v>
      </c>
      <c r="F19" s="31">
        <v>-2.3717455644173109</v>
      </c>
      <c r="G19" s="31">
        <v>17.5622217548935</v>
      </c>
      <c r="H19" s="31">
        <v>-2.3717455644173109</v>
      </c>
      <c r="I19" s="31">
        <v>17.5622217548935</v>
      </c>
    </row>
    <row r="20" spans="1:9" x14ac:dyDescent="0.25">
      <c r="A20" s="31" t="s">
        <v>14</v>
      </c>
      <c r="B20" s="31">
        <v>-10.214285714285712</v>
      </c>
      <c r="C20" s="31">
        <v>4.7307612538381516</v>
      </c>
      <c r="D20" s="31">
        <v>-2.1591209461265199</v>
      </c>
      <c r="E20" s="31">
        <v>4.3837526322428051E-2</v>
      </c>
      <c r="F20" s="31">
        <v>-20.115882814231778</v>
      </c>
      <c r="G20" s="31">
        <v>-0.31268861433964545</v>
      </c>
      <c r="H20" s="31">
        <v>-20.115882814231778</v>
      </c>
      <c r="I20" s="31">
        <v>-0.31268861433964545</v>
      </c>
    </row>
    <row r="21" spans="1:9" ht="15.75" thickBot="1" x14ac:dyDescent="0.3">
      <c r="A21" s="32" t="s">
        <v>15</v>
      </c>
      <c r="B21" s="32">
        <v>-20.523809523809526</v>
      </c>
      <c r="C21" s="32">
        <v>4.7119176953069672</v>
      </c>
      <c r="D21" s="32">
        <v>-4.3557232640653032</v>
      </c>
      <c r="E21" s="32">
        <v>3.4033266440203002E-4</v>
      </c>
      <c r="F21" s="32">
        <v>-30.385966602479172</v>
      </c>
      <c r="G21" s="32">
        <v>-10.661652445139879</v>
      </c>
      <c r="H21" s="32">
        <v>-30.385966602479172</v>
      </c>
      <c r="I21" s="32">
        <v>-10.661652445139879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="140" zoomScaleNormal="140" workbookViewId="0">
      <selection activeCell="I28" sqref="I28"/>
    </sheetView>
  </sheetViews>
  <sheetFormatPr defaultRowHeight="15" x14ac:dyDescent="0.25"/>
  <cols>
    <col min="6" max="6" width="8.5703125" customWidth="1"/>
    <col min="16" max="16" width="4.7109375" customWidth="1"/>
  </cols>
  <sheetData>
    <row r="1" spans="1:9" x14ac:dyDescent="0.25">
      <c r="B1" t="s">
        <v>0</v>
      </c>
    </row>
    <row r="2" spans="1:9" x14ac:dyDescent="0.25">
      <c r="C2" s="1"/>
      <c r="D2" s="1"/>
      <c r="E2" s="1"/>
      <c r="H2" s="1">
        <v>0.3</v>
      </c>
    </row>
    <row r="3" spans="1:9" x14ac:dyDescent="0.25">
      <c r="A3" s="21" t="s">
        <v>2</v>
      </c>
      <c r="B3" s="2" t="s">
        <v>1</v>
      </c>
      <c r="C3" s="26" t="s">
        <v>13</v>
      </c>
      <c r="D3" s="26" t="s">
        <v>14</v>
      </c>
      <c r="E3" s="26" t="s">
        <v>15</v>
      </c>
      <c r="F3" s="14" t="s">
        <v>3</v>
      </c>
      <c r="G3" s="14" t="s">
        <v>6</v>
      </c>
      <c r="H3" s="14" t="s">
        <v>7</v>
      </c>
      <c r="I3" s="14" t="s">
        <v>40</v>
      </c>
    </row>
    <row r="4" spans="1:9" x14ac:dyDescent="0.25">
      <c r="A4" s="22">
        <v>50</v>
      </c>
      <c r="B4" s="1">
        <v>1</v>
      </c>
      <c r="C4" s="27">
        <v>1</v>
      </c>
      <c r="D4" s="27">
        <v>0</v>
      </c>
      <c r="E4" s="27">
        <v>0</v>
      </c>
      <c r="F4" s="15"/>
      <c r="G4" s="16">
        <f>1.0565*B4+27.627</f>
        <v>28.683499999999999</v>
      </c>
      <c r="H4" s="15">
        <f>A4</f>
        <v>50</v>
      </c>
      <c r="I4" s="1"/>
    </row>
    <row r="5" spans="1:9" x14ac:dyDescent="0.25">
      <c r="A5" s="22">
        <v>35</v>
      </c>
      <c r="B5" s="1">
        <v>2</v>
      </c>
      <c r="C5" s="28">
        <v>0</v>
      </c>
      <c r="D5" s="28">
        <v>1</v>
      </c>
      <c r="E5" s="28">
        <v>0</v>
      </c>
      <c r="F5" s="15"/>
      <c r="G5" s="16">
        <f>1.0565*B5+27.627</f>
        <v>29.74</v>
      </c>
      <c r="H5" s="18">
        <f>H4+H$2*(A4-H4)</f>
        <v>50</v>
      </c>
      <c r="I5" s="1"/>
    </row>
    <row r="6" spans="1:9" x14ac:dyDescent="0.25">
      <c r="A6" s="22">
        <v>25</v>
      </c>
      <c r="B6" s="1">
        <v>3</v>
      </c>
      <c r="C6" s="28">
        <v>0</v>
      </c>
      <c r="D6" s="28">
        <v>0</v>
      </c>
      <c r="E6" s="28">
        <v>1</v>
      </c>
      <c r="F6" s="15"/>
      <c r="G6" s="16">
        <f>1.0565*B6+27.627</f>
        <v>30.796499999999998</v>
      </c>
      <c r="H6" s="18">
        <f>H5+H$2*(A5-H5)</f>
        <v>45.5</v>
      </c>
      <c r="I6" s="1"/>
    </row>
    <row r="7" spans="1:9" x14ac:dyDescent="0.25">
      <c r="A7" s="22">
        <v>40</v>
      </c>
      <c r="B7" s="1">
        <v>4</v>
      </c>
      <c r="C7" s="28">
        <v>0</v>
      </c>
      <c r="D7" s="28">
        <v>0</v>
      </c>
      <c r="E7" s="28">
        <v>0</v>
      </c>
      <c r="F7" s="15"/>
      <c r="G7" s="16">
        <f>1.0565*B7+27.627</f>
        <v>31.852999999999998</v>
      </c>
      <c r="H7" s="18">
        <f>H6+H$2*(A6-H6)</f>
        <v>39.35</v>
      </c>
      <c r="I7" s="1"/>
    </row>
    <row r="8" spans="1:9" x14ac:dyDescent="0.25">
      <c r="A8" s="22">
        <v>45</v>
      </c>
      <c r="B8" s="1">
        <v>5</v>
      </c>
      <c r="C8" s="27">
        <v>1</v>
      </c>
      <c r="D8" s="27">
        <v>0</v>
      </c>
      <c r="E8" s="27">
        <v>0</v>
      </c>
      <c r="F8" s="16">
        <f>SUMPRODUCT(A4:A7,Sheet2!B$1:B$4)/SUM(Sheet2!B$1:B$4)</f>
        <v>36.428571428571431</v>
      </c>
      <c r="G8" s="16">
        <f>1.0565*B8+27.627</f>
        <v>32.909500000000001</v>
      </c>
      <c r="H8" s="18">
        <f>H7+H$2*(A7-H7)</f>
        <v>39.545000000000002</v>
      </c>
      <c r="I8" s="1"/>
    </row>
    <row r="9" spans="1:9" x14ac:dyDescent="0.25">
      <c r="A9" s="22">
        <v>35</v>
      </c>
      <c r="B9" s="1">
        <v>6</v>
      </c>
      <c r="C9" s="28">
        <v>0</v>
      </c>
      <c r="D9" s="28">
        <v>1</v>
      </c>
      <c r="E9" s="28">
        <v>0</v>
      </c>
      <c r="F9" s="16">
        <f>SUMPRODUCT(A5:A8,Sheet2!B$1:B$4)/SUM(Sheet2!B$1:B$4)</f>
        <v>39.285714285714285</v>
      </c>
      <c r="G9" s="16">
        <f>1.0565*B9+27.627</f>
        <v>33.966000000000001</v>
      </c>
      <c r="H9" s="18">
        <f>H8+H$2*(A8-H8)</f>
        <v>41.1815</v>
      </c>
      <c r="I9" s="1"/>
    </row>
    <row r="10" spans="1:9" x14ac:dyDescent="0.25">
      <c r="A10" s="22">
        <v>20</v>
      </c>
      <c r="B10" s="1">
        <v>7</v>
      </c>
      <c r="C10" s="28">
        <v>0</v>
      </c>
      <c r="D10" s="28">
        <v>0</v>
      </c>
      <c r="E10" s="28">
        <v>1</v>
      </c>
      <c r="F10" s="16">
        <f>SUMPRODUCT(A6:A9,Sheet2!B$1:B$4)/SUM(Sheet2!B$1:B$4)</f>
        <v>37.142857142857146</v>
      </c>
      <c r="G10" s="16">
        <f>1.0565*B10+27.627</f>
        <v>35.022500000000001</v>
      </c>
      <c r="H10" s="18">
        <f>H9+H$2*(A9-H9)</f>
        <v>39.32705</v>
      </c>
      <c r="I10" s="1"/>
    </row>
    <row r="11" spans="1:9" x14ac:dyDescent="0.25">
      <c r="A11" s="22">
        <v>30</v>
      </c>
      <c r="B11" s="1">
        <v>8</v>
      </c>
      <c r="C11" s="28">
        <v>0</v>
      </c>
      <c r="D11" s="28">
        <v>0</v>
      </c>
      <c r="E11" s="28">
        <v>0</v>
      </c>
      <c r="F11" s="16">
        <f>SUMPRODUCT(A7:A10,Sheet2!B$1:B$4)/SUM(Sheet2!B$1:B$4)</f>
        <v>30.714285714285715</v>
      </c>
      <c r="G11" s="16">
        <f>1.0565*B11+27.627</f>
        <v>36.079000000000001</v>
      </c>
      <c r="H11" s="18">
        <f>H10+H$2*(A10-H10)</f>
        <v>33.528934999999997</v>
      </c>
      <c r="I11" s="1"/>
    </row>
    <row r="12" spans="1:9" x14ac:dyDescent="0.25">
      <c r="A12" s="22">
        <v>35</v>
      </c>
      <c r="B12" s="1">
        <v>9</v>
      </c>
      <c r="C12" s="27">
        <v>1</v>
      </c>
      <c r="D12" s="27">
        <v>0</v>
      </c>
      <c r="E12" s="27">
        <v>0</v>
      </c>
      <c r="F12" s="16">
        <f>SUMPRODUCT(A8:A11,Sheet2!B$1:B$4)/SUM(Sheet2!B$1:B$4)</f>
        <v>30</v>
      </c>
      <c r="G12" s="16">
        <f>1.0565*B12+27.627</f>
        <v>37.1355</v>
      </c>
      <c r="H12" s="18">
        <f>H11+H$2*(A11-H11)</f>
        <v>32.470254499999996</v>
      </c>
      <c r="I12" s="1"/>
    </row>
    <row r="13" spans="1:9" x14ac:dyDescent="0.25">
      <c r="A13" s="22">
        <v>20</v>
      </c>
      <c r="B13" s="1">
        <v>10</v>
      </c>
      <c r="C13" s="28">
        <v>0</v>
      </c>
      <c r="D13" s="28">
        <v>1</v>
      </c>
      <c r="E13" s="28">
        <v>0</v>
      </c>
      <c r="F13" s="16">
        <f>SUMPRODUCT(A9:A12,Sheet2!B$1:B$4)/SUM(Sheet2!B$1:B$4)</f>
        <v>31.428571428571427</v>
      </c>
      <c r="G13" s="16">
        <f>1.0565*B13+27.627</f>
        <v>38.192</v>
      </c>
      <c r="H13" s="18">
        <f>H12+H$2*(A12-H12)</f>
        <v>33.229178149999996</v>
      </c>
      <c r="I13" s="1"/>
    </row>
    <row r="14" spans="1:9" x14ac:dyDescent="0.25">
      <c r="A14" s="22">
        <v>15</v>
      </c>
      <c r="B14" s="1">
        <v>11</v>
      </c>
      <c r="C14" s="28">
        <v>0</v>
      </c>
      <c r="D14" s="28">
        <v>0</v>
      </c>
      <c r="E14" s="28">
        <v>1</v>
      </c>
      <c r="F14" s="16">
        <f>SUMPRODUCT(A10:A13,Sheet2!B$1:B$4)/SUM(Sheet2!B$1:B$4)</f>
        <v>25.714285714285715</v>
      </c>
      <c r="G14" s="16">
        <f>1.0565*B14+27.627</f>
        <v>39.2485</v>
      </c>
      <c r="H14" s="18">
        <f>H13+H$2*(A13-H13)</f>
        <v>29.260424704999998</v>
      </c>
      <c r="I14" s="1"/>
    </row>
    <row r="15" spans="1:9" x14ac:dyDescent="0.25">
      <c r="A15" s="22">
        <v>40</v>
      </c>
      <c r="B15" s="1">
        <v>12</v>
      </c>
      <c r="C15" s="28">
        <v>0</v>
      </c>
      <c r="D15" s="28">
        <v>0</v>
      </c>
      <c r="E15" s="28">
        <v>0</v>
      </c>
      <c r="F15" s="16">
        <f>SUMPRODUCT(A11:A14,Sheet2!B$1:B$4)/SUM(Sheet2!B$1:B$4)</f>
        <v>21.428571428571427</v>
      </c>
      <c r="G15" s="16">
        <f>1.0565*B15+27.627</f>
        <v>40.305</v>
      </c>
      <c r="H15" s="18">
        <f>H14+H$2*(A14-H14)</f>
        <v>24.9822972935</v>
      </c>
      <c r="I15" s="1"/>
    </row>
    <row r="16" spans="1:9" x14ac:dyDescent="0.25">
      <c r="A16" s="22">
        <v>55</v>
      </c>
      <c r="B16" s="1">
        <v>13</v>
      </c>
      <c r="C16" s="27">
        <v>1</v>
      </c>
      <c r="D16" s="27">
        <v>0</v>
      </c>
      <c r="E16" s="27">
        <v>0</v>
      </c>
      <c r="F16" s="16">
        <f>SUMPRODUCT(A12:A15,Sheet2!B$1:B$4)/SUM(Sheet2!B$1:B$4)</f>
        <v>29.285714285714285</v>
      </c>
      <c r="G16" s="16">
        <f>1.0565*B16+27.627</f>
        <v>41.361499999999999</v>
      </c>
      <c r="H16" s="18">
        <f>H15+H$2*(A15-H15)</f>
        <v>29.487608105450001</v>
      </c>
      <c r="I16" s="1"/>
    </row>
    <row r="17" spans="1:16" x14ac:dyDescent="0.25">
      <c r="A17" s="22">
        <v>35</v>
      </c>
      <c r="B17" s="1">
        <v>14</v>
      </c>
      <c r="C17" s="28">
        <v>0</v>
      </c>
      <c r="D17" s="28">
        <v>1</v>
      </c>
      <c r="E17" s="28">
        <v>0</v>
      </c>
      <c r="F17" s="16">
        <f>SUMPRODUCT(A13:A16,Sheet2!B$1:B$4)/SUM(Sheet2!B$1:B$4)</f>
        <v>40</v>
      </c>
      <c r="G17" s="16">
        <f>1.0565*B17+27.627</f>
        <v>42.417999999999999</v>
      </c>
      <c r="H17" s="18">
        <f>H16+H$2*(A16-H16)</f>
        <v>37.141325673815004</v>
      </c>
      <c r="I17" s="1"/>
    </row>
    <row r="18" spans="1:16" x14ac:dyDescent="0.25">
      <c r="A18" s="22">
        <v>25</v>
      </c>
      <c r="B18" s="1">
        <v>15</v>
      </c>
      <c r="C18" s="28">
        <v>0</v>
      </c>
      <c r="D18" s="28">
        <v>0</v>
      </c>
      <c r="E18" s="28">
        <v>1</v>
      </c>
      <c r="F18" s="16">
        <f>SUMPRODUCT(A14:A17,Sheet2!B$1:B$4)/SUM(Sheet2!B$1:B$4)</f>
        <v>38.571428571428569</v>
      </c>
      <c r="G18" s="16">
        <f>1.0565*B18+27.627</f>
        <v>43.474499999999999</v>
      </c>
      <c r="H18" s="18">
        <f>H17+H$2*(A17-H17)</f>
        <v>36.498927971670504</v>
      </c>
      <c r="I18" s="1"/>
    </row>
    <row r="19" spans="1:16" x14ac:dyDescent="0.25">
      <c r="A19" s="22">
        <v>55</v>
      </c>
      <c r="B19" s="1">
        <v>16</v>
      </c>
      <c r="C19" s="28">
        <v>0</v>
      </c>
      <c r="D19" s="28">
        <v>0</v>
      </c>
      <c r="E19" s="28">
        <v>0</v>
      </c>
      <c r="F19" s="16">
        <f>SUMPRODUCT(A15:A18,Sheet2!B$1:B$4)/SUM(Sheet2!B$1:B$4)</f>
        <v>34.285714285714285</v>
      </c>
      <c r="G19" s="16">
        <f>1.0565*B19+27.627</f>
        <v>44.530999999999999</v>
      </c>
      <c r="H19" s="18">
        <f>H18+H$2*(A18-H18)</f>
        <v>33.049249580169352</v>
      </c>
      <c r="I19" s="1"/>
    </row>
    <row r="20" spans="1:16" x14ac:dyDescent="0.25">
      <c r="A20" s="22">
        <v>55</v>
      </c>
      <c r="B20" s="1">
        <v>17</v>
      </c>
      <c r="C20" s="27">
        <v>1</v>
      </c>
      <c r="D20" s="27">
        <v>0</v>
      </c>
      <c r="E20" s="27">
        <v>0</v>
      </c>
      <c r="F20" s="16">
        <f>SUMPRODUCT(A16:A19,Sheet2!B$1:B$4)/SUM(Sheet2!B$1:B$4)</f>
        <v>43.571428571428569</v>
      </c>
      <c r="G20" s="16">
        <f>1.0565*B20+27.627</f>
        <v>45.587499999999999</v>
      </c>
      <c r="H20" s="18">
        <f>H19+H$2*(A19-H19)</f>
        <v>39.634474706118546</v>
      </c>
      <c r="I20" s="1"/>
      <c r="N20" s="11" t="s">
        <v>8</v>
      </c>
      <c r="O20" s="11"/>
      <c r="P20" s="9">
        <f>AVERAGE(F28:H28)</f>
        <v>71.14011871534737</v>
      </c>
    </row>
    <row r="21" spans="1:16" x14ac:dyDescent="0.25">
      <c r="A21" s="22">
        <v>40</v>
      </c>
      <c r="B21" s="1">
        <v>18</v>
      </c>
      <c r="C21" s="28">
        <v>0</v>
      </c>
      <c r="D21" s="28">
        <v>1</v>
      </c>
      <c r="E21" s="28">
        <v>0</v>
      </c>
      <c r="F21" s="16">
        <f>SUMPRODUCT(A17:A20,Sheet2!B$1:B$4)/SUM(Sheet2!B$1:B$4)</f>
        <v>47.857142857142854</v>
      </c>
      <c r="G21" s="16">
        <f>1.0565*B21+27.627</f>
        <v>46.643999999999998</v>
      </c>
      <c r="H21" s="18">
        <f>H20+H$2*(A20-H20)</f>
        <v>44.244132294282984</v>
      </c>
      <c r="I21" s="1"/>
    </row>
    <row r="22" spans="1:16" x14ac:dyDescent="0.25">
      <c r="A22" s="22">
        <v>35</v>
      </c>
      <c r="B22" s="1">
        <v>19</v>
      </c>
      <c r="C22" s="28">
        <v>0</v>
      </c>
      <c r="D22" s="28">
        <v>0</v>
      </c>
      <c r="E22" s="28">
        <v>1</v>
      </c>
      <c r="F22" s="16">
        <f>SUMPRODUCT(A18:A21,Sheet2!B$1:B$4)/SUM(Sheet2!B$1:B$4)</f>
        <v>44.285714285714285</v>
      </c>
      <c r="G22" s="16">
        <f>1.0565*B22+27.627</f>
        <v>47.700499999999998</v>
      </c>
      <c r="H22" s="18">
        <f>H21+H$2*(A21-H21)</f>
        <v>42.970892605998088</v>
      </c>
      <c r="I22" s="1"/>
      <c r="J22" s="1"/>
      <c r="K22" s="1">
        <v>1</v>
      </c>
      <c r="L22" s="1">
        <v>2</v>
      </c>
      <c r="M22" s="1">
        <v>3</v>
      </c>
      <c r="N22" s="1">
        <v>4</v>
      </c>
    </row>
    <row r="23" spans="1:16" x14ac:dyDescent="0.25">
      <c r="A23" s="22">
        <v>60</v>
      </c>
      <c r="B23" s="1">
        <v>20</v>
      </c>
      <c r="C23" s="28">
        <v>0</v>
      </c>
      <c r="D23" s="28">
        <v>0</v>
      </c>
      <c r="E23" s="28">
        <v>0</v>
      </c>
      <c r="F23" s="16">
        <f>SUMPRODUCT(A19:A22,Sheet2!B$1:B$4)/SUM(Sheet2!B$1:B$4)</f>
        <v>42.142857142857146</v>
      </c>
      <c r="G23" s="16">
        <f>1.0565*B23+27.627</f>
        <v>48.756999999999998</v>
      </c>
      <c r="H23" s="18">
        <f>H22+H$2*(A22-H22)</f>
        <v>40.57962482419866</v>
      </c>
      <c r="I23" s="1"/>
      <c r="J23" s="1">
        <v>1</v>
      </c>
      <c r="K23" s="22">
        <v>50</v>
      </c>
      <c r="L23" s="22">
        <v>35</v>
      </c>
      <c r="M23" s="22">
        <v>25</v>
      </c>
      <c r="N23" s="22">
        <v>40</v>
      </c>
      <c r="O23">
        <f>AVERAGE(K23:N23)</f>
        <v>37.5</v>
      </c>
    </row>
    <row r="24" spans="1:16" x14ac:dyDescent="0.25">
      <c r="A24" s="22">
        <v>75</v>
      </c>
      <c r="B24" s="1">
        <v>21</v>
      </c>
      <c r="C24" s="27">
        <v>1</v>
      </c>
      <c r="D24" s="27">
        <v>0</v>
      </c>
      <c r="E24" s="27">
        <v>0</v>
      </c>
      <c r="F24" s="16">
        <f>SUMPRODUCT(A20:A23,Sheet2!B$1:B$4)/SUM(Sheet2!B$1:B$4)</f>
        <v>49.285714285714285</v>
      </c>
      <c r="G24" s="16">
        <f>1.0565*B24+27.627</f>
        <v>49.813499999999998</v>
      </c>
      <c r="H24" s="18">
        <f>H23+H$2*(A23-H23)</f>
        <v>46.405737376939065</v>
      </c>
      <c r="I24" s="1"/>
      <c r="J24" s="1">
        <v>2</v>
      </c>
      <c r="K24" s="22">
        <v>45</v>
      </c>
      <c r="L24" s="22">
        <v>35</v>
      </c>
      <c r="M24" s="22">
        <v>20</v>
      </c>
      <c r="N24" s="22">
        <v>30</v>
      </c>
      <c r="O24">
        <f t="shared" ref="O24:O28" si="0">AVERAGE(K24:N24)</f>
        <v>32.5</v>
      </c>
    </row>
    <row r="25" spans="1:16" x14ac:dyDescent="0.25">
      <c r="A25" s="22">
        <v>50</v>
      </c>
      <c r="B25" s="1">
        <v>22</v>
      </c>
      <c r="C25" s="28">
        <v>0</v>
      </c>
      <c r="D25" s="28">
        <v>1</v>
      </c>
      <c r="E25" s="28">
        <v>0</v>
      </c>
      <c r="F25" s="16">
        <f>SUMPRODUCT(A21:A24,Sheet2!B$1:B$4)/SUM(Sheet2!B$1:B$4)</f>
        <v>60</v>
      </c>
      <c r="G25" s="16">
        <f>1.0565*B25+27.627</f>
        <v>50.87</v>
      </c>
      <c r="H25" s="18">
        <f>H24+H$2*(A24-H24)</f>
        <v>54.984016163857348</v>
      </c>
      <c r="I25" s="1"/>
      <c r="J25" s="1">
        <v>3</v>
      </c>
      <c r="K25" s="22">
        <v>35</v>
      </c>
      <c r="L25" s="22">
        <v>20</v>
      </c>
      <c r="M25" s="22">
        <v>15</v>
      </c>
      <c r="N25" s="22">
        <v>40</v>
      </c>
      <c r="O25">
        <f t="shared" si="0"/>
        <v>27.5</v>
      </c>
    </row>
    <row r="26" spans="1:16" x14ac:dyDescent="0.25">
      <c r="A26" s="22">
        <v>40</v>
      </c>
      <c r="B26" s="1">
        <v>23</v>
      </c>
      <c r="C26" s="28">
        <v>0</v>
      </c>
      <c r="D26" s="28">
        <v>0</v>
      </c>
      <c r="E26" s="28">
        <v>1</v>
      </c>
      <c r="F26" s="16">
        <f>SUMPRODUCT(A22:A25,Sheet2!B$1:B$4)/SUM(Sheet2!B$1:B$4)</f>
        <v>56.428571428571431</v>
      </c>
      <c r="G26" s="16">
        <f>1.0565*B26+27.627</f>
        <v>51.926499999999997</v>
      </c>
      <c r="H26" s="18">
        <f>H25+H$2*(A25-H25)</f>
        <v>53.488811314700143</v>
      </c>
      <c r="I26" s="1"/>
      <c r="J26" s="1">
        <v>4</v>
      </c>
      <c r="K26" s="22">
        <v>55</v>
      </c>
      <c r="L26" s="22">
        <v>35</v>
      </c>
      <c r="M26" s="22">
        <v>25</v>
      </c>
      <c r="N26" s="22">
        <v>55</v>
      </c>
      <c r="O26">
        <f t="shared" si="0"/>
        <v>42.5</v>
      </c>
    </row>
    <row r="27" spans="1:16" x14ac:dyDescent="0.25">
      <c r="A27" s="22">
        <v>65</v>
      </c>
      <c r="B27" s="1">
        <v>24</v>
      </c>
      <c r="C27" s="30">
        <v>0</v>
      </c>
      <c r="D27" s="30">
        <v>0</v>
      </c>
      <c r="E27" s="30">
        <v>0</v>
      </c>
      <c r="F27" s="16">
        <f>SUMPRODUCT(A23:A26,Sheet2!B$1:B$4)/SUM(Sheet2!B$1:B$4)</f>
        <v>50.714285714285715</v>
      </c>
      <c r="G27" s="16">
        <f>1.0565*B27+27.627</f>
        <v>52.983000000000004</v>
      </c>
      <c r="H27" s="19">
        <f>H26+H$2*(A26-H26)</f>
        <v>49.442167920290103</v>
      </c>
      <c r="I27" s="35"/>
      <c r="J27" s="1">
        <v>5</v>
      </c>
      <c r="K27" s="22">
        <v>55</v>
      </c>
      <c r="L27" s="22">
        <v>40</v>
      </c>
      <c r="M27" s="22">
        <v>35</v>
      </c>
      <c r="N27" s="22">
        <v>60</v>
      </c>
      <c r="O27">
        <f t="shared" si="0"/>
        <v>47.5</v>
      </c>
    </row>
    <row r="28" spans="1:16" x14ac:dyDescent="0.25">
      <c r="A28" s="23" t="s">
        <v>5</v>
      </c>
      <c r="B28" s="3">
        <v>25</v>
      </c>
      <c r="C28" s="29">
        <v>1</v>
      </c>
      <c r="D28" s="29">
        <v>0</v>
      </c>
      <c r="E28" s="29">
        <v>0</v>
      </c>
      <c r="F28" s="17">
        <f>SUMPRODUCT(A24:A27,Sheet2!B$1:B$4)/SUM(Sheet2!B$1:B$4)*K40</f>
        <v>73.781297149179778</v>
      </c>
      <c r="G28" s="17">
        <f>(1.0565*B28+27.627)*K40</f>
        <v>69.774327127629263</v>
      </c>
      <c r="H28" s="20">
        <f>(H27+H$2*(A27-H27))*K40</f>
        <v>69.864731869233054</v>
      </c>
      <c r="I28" s="12">
        <f>Regression!B17+Regression!B18*B28+C28*Regression!B19+D28*Regression!B20+E28*Regression!B21</f>
        <v>68.5</v>
      </c>
      <c r="J28" s="1">
        <v>6</v>
      </c>
      <c r="K28" s="22">
        <v>75</v>
      </c>
      <c r="L28" s="22">
        <v>50</v>
      </c>
      <c r="M28" s="22">
        <v>40</v>
      </c>
      <c r="N28" s="22">
        <v>65</v>
      </c>
      <c r="O28">
        <f t="shared" si="0"/>
        <v>57.5</v>
      </c>
    </row>
    <row r="29" spans="1:16" x14ac:dyDescent="0.25">
      <c r="C29" s="7"/>
      <c r="D29" s="7"/>
      <c r="E29" s="7"/>
      <c r="F29" s="7"/>
      <c r="G29" s="7"/>
      <c r="H29" s="7"/>
      <c r="K29" s="6"/>
      <c r="L29" s="6"/>
      <c r="M29" s="6"/>
      <c r="N29" s="6"/>
    </row>
    <row r="30" spans="1:16" x14ac:dyDescent="0.25">
      <c r="B30" s="10"/>
      <c r="C30" s="8"/>
      <c r="D30" s="8"/>
      <c r="E30" s="8"/>
      <c r="F30" s="8"/>
      <c r="G30" s="8"/>
      <c r="H30" s="8"/>
    </row>
    <row r="31" spans="1:16" x14ac:dyDescent="0.25">
      <c r="B31" s="10"/>
      <c r="C31" s="8"/>
      <c r="D31" s="8"/>
      <c r="E31" s="8"/>
      <c r="F31" s="8"/>
      <c r="G31" s="8"/>
      <c r="H31" s="8"/>
      <c r="K31" s="7"/>
    </row>
    <row r="32" spans="1:16" x14ac:dyDescent="0.25">
      <c r="B32" s="1"/>
      <c r="C32" s="7"/>
      <c r="D32" s="7"/>
      <c r="E32" s="7"/>
      <c r="F32" s="7"/>
      <c r="G32" s="7"/>
      <c r="H32" s="7"/>
    </row>
    <row r="33" spans="10:14" x14ac:dyDescent="0.25">
      <c r="J33" s="1"/>
      <c r="K33" s="1">
        <v>1</v>
      </c>
      <c r="L33" s="1">
        <v>2</v>
      </c>
      <c r="M33" s="1">
        <v>3</v>
      </c>
      <c r="N33" s="1">
        <v>4</v>
      </c>
    </row>
    <row r="34" spans="10:14" x14ac:dyDescent="0.25">
      <c r="J34" s="1">
        <v>1</v>
      </c>
      <c r="K34" s="24">
        <f>K23/$O23</f>
        <v>1.3333333333333333</v>
      </c>
      <c r="L34" s="24">
        <f t="shared" ref="L34:N34" si="1">L23/$O23</f>
        <v>0.93333333333333335</v>
      </c>
      <c r="M34" s="24">
        <f t="shared" si="1"/>
        <v>0.66666666666666663</v>
      </c>
      <c r="N34" s="24">
        <f t="shared" si="1"/>
        <v>1.0666666666666667</v>
      </c>
    </row>
    <row r="35" spans="10:14" x14ac:dyDescent="0.25">
      <c r="J35" s="1">
        <v>2</v>
      </c>
      <c r="K35" s="24">
        <f t="shared" ref="K35:N35" si="2">K24/$O24</f>
        <v>1.3846153846153846</v>
      </c>
      <c r="L35" s="24">
        <f t="shared" si="2"/>
        <v>1.0769230769230769</v>
      </c>
      <c r="M35" s="24">
        <f t="shared" si="2"/>
        <v>0.61538461538461542</v>
      </c>
      <c r="N35" s="24">
        <f t="shared" si="2"/>
        <v>0.92307692307692313</v>
      </c>
    </row>
    <row r="36" spans="10:14" x14ac:dyDescent="0.25">
      <c r="J36" s="1">
        <v>3</v>
      </c>
      <c r="K36" s="24">
        <f t="shared" ref="K36:N36" si="3">K25/$O25</f>
        <v>1.2727272727272727</v>
      </c>
      <c r="L36" s="24">
        <f t="shared" si="3"/>
        <v>0.72727272727272729</v>
      </c>
      <c r="M36" s="24">
        <f t="shared" si="3"/>
        <v>0.54545454545454541</v>
      </c>
      <c r="N36" s="24">
        <f t="shared" si="3"/>
        <v>1.4545454545454546</v>
      </c>
    </row>
    <row r="37" spans="10:14" x14ac:dyDescent="0.25">
      <c r="J37" s="1">
        <v>4</v>
      </c>
      <c r="K37" s="24">
        <f t="shared" ref="K37:N37" si="4">K26/$O26</f>
        <v>1.2941176470588236</v>
      </c>
      <c r="L37" s="24">
        <f t="shared" si="4"/>
        <v>0.82352941176470584</v>
      </c>
      <c r="M37" s="24">
        <f t="shared" si="4"/>
        <v>0.58823529411764708</v>
      </c>
      <c r="N37" s="24">
        <f t="shared" si="4"/>
        <v>1.2941176470588236</v>
      </c>
    </row>
    <row r="38" spans="10:14" x14ac:dyDescent="0.25">
      <c r="J38" s="1">
        <v>5</v>
      </c>
      <c r="K38" s="24">
        <f t="shared" ref="K38:N38" si="5">K27/$O27</f>
        <v>1.1578947368421053</v>
      </c>
      <c r="L38" s="24">
        <f t="shared" si="5"/>
        <v>0.84210526315789469</v>
      </c>
      <c r="M38" s="24">
        <f t="shared" si="5"/>
        <v>0.73684210526315785</v>
      </c>
      <c r="N38" s="24">
        <f t="shared" si="5"/>
        <v>1.263157894736842</v>
      </c>
    </row>
    <row r="39" spans="10:14" x14ac:dyDescent="0.25">
      <c r="J39" s="1">
        <v>6</v>
      </c>
      <c r="K39" s="24">
        <f t="shared" ref="K39:N39" si="6">K28/$O28</f>
        <v>1.3043478260869565</v>
      </c>
      <c r="L39" s="24">
        <f t="shared" si="6"/>
        <v>0.86956521739130432</v>
      </c>
      <c r="M39" s="24">
        <f t="shared" si="6"/>
        <v>0.69565217391304346</v>
      </c>
      <c r="N39" s="24">
        <f t="shared" si="6"/>
        <v>1.1304347826086956</v>
      </c>
    </row>
    <row r="40" spans="10:14" x14ac:dyDescent="0.25">
      <c r="K40" s="25">
        <f>AVERAGE(K34:K39)</f>
        <v>1.2911727001106461</v>
      </c>
      <c r="L40" s="25">
        <f t="shared" ref="L40:N40" si="7">AVERAGE(L34:L39)</f>
        <v>0.87878817164050715</v>
      </c>
      <c r="M40" s="25">
        <f t="shared" si="7"/>
        <v>0.64137256679994603</v>
      </c>
      <c r="N40" s="25">
        <f t="shared" si="7"/>
        <v>1.1886665614489009</v>
      </c>
    </row>
  </sheetData>
  <mergeCells count="2">
    <mergeCell ref="N20:O20"/>
    <mergeCell ref="B30:B31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="200" zoomScaleNormal="200" workbookViewId="0">
      <selection activeCell="B5" sqref="B5"/>
    </sheetView>
  </sheetViews>
  <sheetFormatPr defaultRowHeight="15" x14ac:dyDescent="0.25"/>
  <sheetData>
    <row r="1" spans="1:2" x14ac:dyDescent="0.25">
      <c r="A1" t="s">
        <v>4</v>
      </c>
      <c r="B1">
        <v>1</v>
      </c>
    </row>
    <row r="2" spans="1:2" x14ac:dyDescent="0.25">
      <c r="B2">
        <v>1</v>
      </c>
    </row>
    <row r="3" spans="1:2" x14ac:dyDescent="0.25">
      <c r="B3">
        <v>2</v>
      </c>
    </row>
    <row r="4" spans="1:2" x14ac:dyDescent="0.25">
      <c r="B4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Simple Models</vt:lpstr>
      <vt:lpstr>Regression</vt:lpstr>
      <vt:lpstr>Seasonal Models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Schedlbauer</dc:creator>
  <cp:lastModifiedBy>Schedlbauer, Martin</cp:lastModifiedBy>
  <dcterms:created xsi:type="dcterms:W3CDTF">2012-11-09T17:38:47Z</dcterms:created>
  <dcterms:modified xsi:type="dcterms:W3CDTF">2012-11-09T21:46:13Z</dcterms:modified>
</cp:coreProperties>
</file>